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jarsulic/Documents/Fin Stability/"/>
    </mc:Choice>
  </mc:AlternateContent>
  <xr:revisionPtr revIDLastSave="0" documentId="8_{53FDD363-B338-EA41-82E5-97FE9C708FF9}" xr6:coauthVersionLast="47" xr6:coauthVersionMax="47" xr10:uidLastSave="{00000000-0000-0000-0000-000000000000}"/>
  <bookViews>
    <workbookView xWindow="13660" yWindow="760" windowWidth="30560" windowHeight="26480" xr2:uid="{5D6D3F0C-4615-5E4B-8811-AE9BB416B884}"/>
  </bookViews>
  <sheets>
    <sheet name="Table 1" sheetId="1" r:id="rId1"/>
    <sheet name="Tab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G19" i="1"/>
  <c r="H21" i="1"/>
  <c r="P4" i="2"/>
  <c r="E6" i="2"/>
  <c r="I6" i="2" s="1"/>
  <c r="D6" i="2"/>
  <c r="M6" i="2" s="1"/>
  <c r="M4" i="2"/>
  <c r="I4" i="2"/>
  <c r="J4" i="2" s="1"/>
  <c r="F19" i="1"/>
  <c r="E19" i="1"/>
  <c r="D19" i="1"/>
  <c r="C19" i="1"/>
  <c r="B19" i="1"/>
  <c r="K17" i="1"/>
  <c r="L17" i="1" s="1"/>
  <c r="K15" i="1"/>
  <c r="L15" i="1" s="1"/>
  <c r="K13" i="1"/>
  <c r="L13" i="1" s="1"/>
  <c r="K11" i="1"/>
  <c r="L11" i="1" s="1"/>
  <c r="K9" i="1"/>
  <c r="L9" i="1" s="1"/>
  <c r="K7" i="1"/>
  <c r="L7" i="1" s="1"/>
  <c r="K5" i="1"/>
  <c r="L5" i="1" s="1"/>
  <c r="K3" i="1"/>
  <c r="L3" i="1" s="1"/>
  <c r="P6" i="2" l="1"/>
  <c r="K6" i="2"/>
  <c r="J6" i="2"/>
  <c r="H19" i="1"/>
  <c r="M3" i="1"/>
  <c r="N3" i="1" s="1"/>
  <c r="I19" i="1"/>
  <c r="L19" i="1"/>
  <c r="K4" i="2"/>
  <c r="K19" i="1"/>
  <c r="B33" i="1" s="1"/>
  <c r="M17" i="1"/>
  <c r="N17" i="1" s="1"/>
  <c r="M9" i="1"/>
  <c r="N9" i="1" s="1"/>
  <c r="M11" i="1"/>
  <c r="N11" i="1" s="1"/>
  <c r="M5" i="1"/>
  <c r="N5" i="1" s="1"/>
  <c r="M13" i="1"/>
  <c r="N13" i="1" s="1"/>
  <c r="M7" i="1"/>
  <c r="N7" i="1" s="1"/>
  <c r="M15" i="1"/>
  <c r="N15" i="1" s="1"/>
  <c r="N19" i="1" l="1"/>
  <c r="M19" i="1"/>
  <c r="K21" i="1" s="1"/>
  <c r="H24" i="1"/>
  <c r="B35" i="1"/>
  <c r="B37" i="1" s="1"/>
  <c r="H27" i="1" l="1"/>
</calcChain>
</file>

<file path=xl/sharedStrings.xml><?xml version="1.0" encoding="utf-8"?>
<sst xmlns="http://schemas.openxmlformats.org/spreadsheetml/2006/main" count="54" uniqueCount="44">
  <si>
    <t>BHC</t>
  </si>
  <si>
    <t>SLR (%)</t>
  </si>
  <si>
    <t>Tier 1 Capital ($B)</t>
  </si>
  <si>
    <t>Risk-Weighted Assets ($B)</t>
  </si>
  <si>
    <t>Leverage Exposure ($B)</t>
  </si>
  <si>
    <t>Tier 1 Leverage Ratio (%)</t>
  </si>
  <si>
    <t>Bank of America</t>
  </si>
  <si>
    <t>Bank of NY Mellon</t>
  </si>
  <si>
    <t>Citigroup</t>
  </si>
  <si>
    <t>Goldman Sachs</t>
  </si>
  <si>
    <t>JPMorgan</t>
  </si>
  <si>
    <t>State Street</t>
  </si>
  <si>
    <t>Wells Fargo</t>
  </si>
  <si>
    <t>Total Assets ($B)</t>
  </si>
  <si>
    <t>CET1 Capital ($B)</t>
  </si>
  <si>
    <t>Required CET1 RWA Ratio (%)</t>
  </si>
  <si>
    <t xml:space="preserve">Total </t>
  </si>
  <si>
    <t>Required CET1</t>
  </si>
  <si>
    <t>"Excess" CET1</t>
  </si>
  <si>
    <t>New requ'd CET1/Old CET1</t>
  </si>
  <si>
    <t>Tier 1 leverage ratio after 19 percent increase in required CET1</t>
  </si>
  <si>
    <t>CET1 Required with 19% increase ($B)</t>
  </si>
  <si>
    <t>CET1 shortfall after 19% increase in requirement</t>
  </si>
  <si>
    <t>Current (10/23) CET1 Risk-Based Capital Ratio (%)</t>
  </si>
  <si>
    <t>Morgan Stanley</t>
  </si>
  <si>
    <t>CET1 Risk-Based Capital Ratio (%)</t>
  </si>
  <si>
    <t>CET1 Required with 6% increase ($B)</t>
  </si>
  <si>
    <t>Loss Rate</t>
  </si>
  <si>
    <t>Signature</t>
  </si>
  <si>
    <t>Tier 1 ratio after 6% increase in CET1 capital requirement</t>
  </si>
  <si>
    <t>Column2</t>
  </si>
  <si>
    <t>Column3</t>
  </si>
  <si>
    <t>CET1/RWA after 19 percent increase in required CET1</t>
  </si>
  <si>
    <t>Change/current CET1</t>
  </si>
  <si>
    <t>Implied change required CET1</t>
  </si>
  <si>
    <t>SLR after 19 percent increase in required CET1</t>
  </si>
  <si>
    <t>19 percent current required  CET1</t>
  </si>
  <si>
    <t>References</t>
  </si>
  <si>
    <t>Silicon Valley Bank (SVB)</t>
  </si>
  <si>
    <t>Resolution costs ($B)</t>
  </si>
  <si>
    <t xml:space="preserve">For resolution cost estimates, see Martin J. Gruenberg, "The Federal Regulators’ Response to Recent Bank Failures," March 29, 2023, available at https://docs.house.gov/meetings/BA/BA00/20230329/115605/HHRG-118-BA00-Wstate-GruenbergM-20230329.pdf. </t>
  </si>
  <si>
    <t xml:space="preserve">See Bank Holding Company Performance Report (BHCPR) and Regulatory Capital Reporting for Institutions Subject to the Advanced Capital Adequacy Framework (FFIEC 101) filings for 6/30/2023 for the respective banks, available at https://www.ffiec.gov/npw/Institution/TopHoldings. (last accessed November 2023). </t>
  </si>
  <si>
    <t xml:space="preserve">See the Uniform Bank Performance Report (UBPR) 12/31/2022 filings for the respective banks, available at https://cdr.ffiec.gov/public/ManageFacsimiles.aspx. (last accessed November 2023). </t>
  </si>
  <si>
    <t>Board of Governors of the Federal Reserve System, "Large Banks Capital Requirements," July 2023, available at https://www.federalreserve.gov/publications/files/large-bank-capital-requirements-20230727.pdf.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</si>
</sst>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0" fontId="1" fillId="0" borderId="0" xfId="0" applyFont="1" applyAlignment="1">
      <alignment wrapText="1"/>
    </xf>
    <xf numFmtId="165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" fontId="4" fillId="0" borderId="0" xfId="0" applyNumberFormat="1" applyFont="1"/>
  </cellXfs>
  <cellStyles count="1">
    <cellStyle name="Normal" xfId="0" builtinId="0"/>
  </cellStyles>
  <dxfs count="21"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8CAB91-E5F8-574C-93CC-321443B07F9A}" name="Table2" displayName="Table2" ref="A1:N19" totalsRowShown="0" headerRowDxfId="20">
  <autoFilter ref="A1:N19" xr:uid="{588CAB91-E5F8-574C-93CC-321443B07F9A}"/>
  <tableColumns count="14">
    <tableColumn id="1" xr3:uid="{153CF244-0BCA-8A41-AE2A-8EEAE3F0BCF4}" name="BHC" dataDxfId="19"/>
    <tableColumn id="2" xr3:uid="{95539190-6860-3549-A618-9DA033BBD74F}" name="Tier 1 Capital ($B)"/>
    <tableColumn id="3" xr3:uid="{7887CB69-57CB-654F-AD7F-0E2A64AEF6C2}" name="CET1 Capital ($B)"/>
    <tableColumn id="4" xr3:uid="{D6E5CA22-04EC-D24B-8E28-1A72BF9CBFDA}" name="Total Assets ($B)"/>
    <tableColumn id="5" xr3:uid="{A8102BDF-8A89-3C4F-B751-2D4EFAAA461F}" name="Risk-Weighted Assets ($B)"/>
    <tableColumn id="6" xr3:uid="{10C15480-5518-864D-AE4A-5D75A04552F1}" name="Leverage Exposure ($B)"/>
    <tableColumn id="7" xr3:uid="{2ACE5410-D560-BD4C-8AC2-8F3BEFB6AE54}" name="Current (10/23) CET1 Risk-Based Capital Ratio (%)"/>
    <tableColumn id="8" xr3:uid="{B415A8A0-A72A-074A-BB48-9A7E64481BB0}" name="Tier 1 Leverage Ratio (%)"/>
    <tableColumn id="9" xr3:uid="{D7CB4D3C-13CB-EE4F-A3F9-1385B26CD716}" name="SLR (%)"/>
    <tableColumn id="10" xr3:uid="{43382809-CF26-8946-9F12-BFE97F42C4CF}" name="Required CET1 RWA Ratio (%)" dataDxfId="18"/>
    <tableColumn id="11" xr3:uid="{CCCFCA8B-AAF2-1D42-A3FE-348801FC74D8}" name="Required CET1"/>
    <tableColumn id="12" xr3:uid="{43FD52A0-2B36-4C4E-AC49-E7257E8F22DE}" name="&quot;Excess&quot; CET1"/>
    <tableColumn id="13" xr3:uid="{F2C582B9-702D-C948-AA36-DD91F55CD4F2}" name="CET1 Required with 19% increase ($B)"/>
    <tableColumn id="14" xr3:uid="{D27AC604-D87E-3143-BCD7-4C8697D67B3F}" name="CET1 shortfall after 19% increase in requireme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789138-2E7E-AE4E-9196-CB2724C17669}" name="Table3" displayName="Table3" ref="A1:P6" totalsRowShown="0" headerRowDxfId="17" dataDxfId="16">
  <autoFilter ref="A1:P6" xr:uid="{13789138-2E7E-AE4E-9196-CB2724C17669}"/>
  <tableColumns count="16">
    <tableColumn id="1" xr3:uid="{869377E1-E01D-EB4F-8B17-97C1665415C2}" name="BHC" dataDxfId="15"/>
    <tableColumn id="2" xr3:uid="{9DBAEBA0-25FB-914D-B3F2-1E6089AAA8DE}" name="Tier 1 Capital ($B)" dataDxfId="14"/>
    <tableColumn id="3" xr3:uid="{E75A273A-3E06-8A46-BE97-82CDE2F62C4B}" name="CET1 Capital ($B)" dataDxfId="13"/>
    <tableColumn id="4" xr3:uid="{FFBDFB0B-DCBC-AE48-B5D0-B57D855F6202}" name="Total Assets ($B)" dataDxfId="12"/>
    <tableColumn id="5" xr3:uid="{631A9BC0-AA80-AE49-9AC1-AB0EAAE5E476}" name="Risk-Weighted Assets ($B)" dataDxfId="11"/>
    <tableColumn id="6" xr3:uid="{5A60788A-3A59-8045-A424-F98293405750}" name="CET1 Risk-Based Capital Ratio (%)" dataDxfId="10"/>
    <tableColumn id="7" xr3:uid="{AD0F5C5C-B824-B942-9772-E0C3106B1700}" name="Tier 1 Leverage Ratio (%)" dataDxfId="9"/>
    <tableColumn id="8" xr3:uid="{19BA7848-241E-7F45-93A4-2D5C0B9FBD47}" name="Required CET1 RWA Ratio (%)" dataDxfId="8"/>
    <tableColumn id="9" xr3:uid="{929D662E-44E5-E546-AEE7-DF16B03575C9}" name="Required CET1" dataDxfId="7"/>
    <tableColumn id="10" xr3:uid="{6BDA8EF1-5170-7B43-9177-D5E17B8B5AB6}" name="&quot;Excess&quot; CET1" dataDxfId="6"/>
    <tableColumn id="11" xr3:uid="{041A39DE-08CA-2049-83D7-8DA9C53235DB}" name="CET1 Required with 6% increase ($B)" dataDxfId="5"/>
    <tableColumn id="12" xr3:uid="{2E6C3EFA-70E4-9A46-AB69-C80A6ACB541D}" name="Resolution costs ($B)" dataDxfId="4"/>
    <tableColumn id="13" xr3:uid="{61EF2EF3-FE9C-9749-9A35-5CC85C13E82C}" name="Loss Rate" dataDxfId="3"/>
    <tableColumn id="14" xr3:uid="{7648E69A-E70E-8A43-BBA0-F0451D160592}" name="Column2" dataDxfId="2"/>
    <tableColumn id="15" xr3:uid="{64EF7160-A97E-3341-8073-84FFC3C24E14}" name="Column3" dataDxfId="1"/>
    <tableColumn id="16" xr3:uid="{C03CA0EA-ECB9-3B49-A2BC-8F856EC48E20}" name="Tier 1 ratio after 6% increase in CET1 capital requirem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0A1F-4F76-E34F-B0FF-9A54C44181BA}">
  <dimension ref="A1:P43"/>
  <sheetViews>
    <sheetView tabSelected="1" zoomScale="82" zoomScaleNormal="125" workbookViewId="0">
      <selection activeCell="P21" sqref="P21"/>
    </sheetView>
  </sheetViews>
  <sheetFormatPr baseColWidth="10" defaultRowHeight="16"/>
  <cols>
    <col min="1" max="14" width="17.83203125" customWidth="1"/>
  </cols>
  <sheetData>
    <row r="1" spans="1:14" s="1" customFormat="1" ht="51">
      <c r="A1" s="1" t="s">
        <v>0</v>
      </c>
      <c r="B1" s="1" t="s">
        <v>2</v>
      </c>
      <c r="C1" s="1" t="s">
        <v>14</v>
      </c>
      <c r="D1" s="1" t="s">
        <v>13</v>
      </c>
      <c r="E1" s="1" t="s">
        <v>3</v>
      </c>
      <c r="F1" s="1" t="s">
        <v>4</v>
      </c>
      <c r="G1" s="1" t="s">
        <v>23</v>
      </c>
      <c r="H1" s="1" t="s">
        <v>5</v>
      </c>
      <c r="I1" s="1" t="s">
        <v>1</v>
      </c>
      <c r="J1" s="1" t="s">
        <v>15</v>
      </c>
      <c r="K1" s="1" t="s">
        <v>17</v>
      </c>
      <c r="L1" s="1" t="s">
        <v>18</v>
      </c>
      <c r="M1" s="1" t="s">
        <v>21</v>
      </c>
      <c r="N1" s="1" t="s">
        <v>22</v>
      </c>
    </row>
    <row r="2" spans="1:14">
      <c r="C2" s="12"/>
    </row>
    <row r="3" spans="1:14">
      <c r="A3" t="s">
        <v>6</v>
      </c>
      <c r="B3" s="13">
        <v>218.50299999999999</v>
      </c>
      <c r="C3" s="13">
        <v>190.113</v>
      </c>
      <c r="D3" s="13">
        <v>3097.7</v>
      </c>
      <c r="E3" s="13">
        <v>1639.0640000000001</v>
      </c>
      <c r="F3" s="13">
        <v>3641</v>
      </c>
      <c r="G3" s="14">
        <v>11.6</v>
      </c>
      <c r="H3" s="14">
        <v>7.05</v>
      </c>
      <c r="I3" s="14">
        <v>6</v>
      </c>
      <c r="J3" s="14">
        <v>9.5</v>
      </c>
      <c r="K3" s="3">
        <f>(J3*E3/100)</f>
        <v>155.71108000000001</v>
      </c>
      <c r="L3" s="3">
        <f>C3-K3</f>
        <v>34.40191999999999</v>
      </c>
      <c r="M3" s="3">
        <f>1.19*K3</f>
        <v>185.2961852</v>
      </c>
      <c r="N3" s="3">
        <f>M3-K3</f>
        <v>29.585105199999987</v>
      </c>
    </row>
    <row r="5" spans="1:14">
      <c r="A5" t="s">
        <v>7</v>
      </c>
      <c r="B5" s="13">
        <v>22.957000000000001</v>
      </c>
      <c r="C5" s="15">
        <v>18.126999999999999</v>
      </c>
      <c r="D5" s="11">
        <v>403.20600000000002</v>
      </c>
      <c r="E5" s="13">
        <v>163.536</v>
      </c>
      <c r="F5">
        <v>326.2</v>
      </c>
      <c r="G5" s="14">
        <v>11.08</v>
      </c>
      <c r="H5" s="14">
        <v>5.69</v>
      </c>
      <c r="I5" s="14">
        <v>7.04</v>
      </c>
      <c r="J5">
        <v>8.5</v>
      </c>
      <c r="K5" s="3">
        <f>(J5*E5/100)</f>
        <v>13.90056</v>
      </c>
      <c r="L5" s="3">
        <f>C5-K5</f>
        <v>4.2264399999999984</v>
      </c>
      <c r="M5" s="3">
        <f>1.19*K5</f>
        <v>16.5416664</v>
      </c>
      <c r="N5" s="3">
        <f>M5-K5</f>
        <v>2.6411064</v>
      </c>
    </row>
    <row r="7" spans="1:14">
      <c r="A7" t="s">
        <v>8</v>
      </c>
      <c r="B7" s="13">
        <v>175.74299999999999</v>
      </c>
      <c r="C7" s="13">
        <v>154.24299999999999</v>
      </c>
      <c r="D7" s="13">
        <v>2429.306</v>
      </c>
      <c r="E7" s="13">
        <v>1234.270534</v>
      </c>
      <c r="F7" s="13">
        <v>2934.5</v>
      </c>
      <c r="G7" s="14">
        <v>12.5</v>
      </c>
      <c r="H7" s="14">
        <v>7.23</v>
      </c>
      <c r="I7" s="14">
        <v>5.97</v>
      </c>
      <c r="J7">
        <v>12.3</v>
      </c>
      <c r="K7" s="3">
        <f>(J7*E7/100)</f>
        <v>151.81527568200002</v>
      </c>
      <c r="L7" s="3">
        <f>C7-K7</f>
        <v>2.4277243179999743</v>
      </c>
      <c r="M7" s="3">
        <f>1.19*K7</f>
        <v>180.66017806158001</v>
      </c>
      <c r="N7" s="3">
        <f>M7-K7</f>
        <v>28.844902379579992</v>
      </c>
    </row>
    <row r="9" spans="1:14">
      <c r="A9" t="s">
        <v>9</v>
      </c>
      <c r="B9" s="13">
        <v>108.67400000000001</v>
      </c>
      <c r="C9" s="13">
        <v>98.188000000000002</v>
      </c>
      <c r="D9" s="13">
        <v>1554.2819999999999</v>
      </c>
      <c r="E9" s="13">
        <v>683.54</v>
      </c>
      <c r="F9" s="13">
        <v>1955.04</v>
      </c>
      <c r="G9" s="14">
        <v>14</v>
      </c>
      <c r="H9" s="14">
        <v>6.99</v>
      </c>
      <c r="I9" s="14">
        <v>5.56</v>
      </c>
      <c r="J9">
        <v>13</v>
      </c>
      <c r="K9" s="3">
        <f>(J9*E9/100)</f>
        <v>88.860200000000006</v>
      </c>
      <c r="L9" s="3">
        <f>C9-K9</f>
        <v>9.3277999999999963</v>
      </c>
      <c r="M9" s="3">
        <f>1.19*K9</f>
        <v>105.743638</v>
      </c>
      <c r="N9" s="3">
        <f>M9-K9</f>
        <v>16.883437999999998</v>
      </c>
    </row>
    <row r="11" spans="1:14">
      <c r="A11" t="s">
        <v>10</v>
      </c>
      <c r="B11" s="13">
        <v>262.58499999999998</v>
      </c>
      <c r="C11" s="13">
        <v>235.827</v>
      </c>
      <c r="D11" s="13">
        <v>3796.5790000000002</v>
      </c>
      <c r="E11" s="13">
        <v>1706.9268750000001</v>
      </c>
      <c r="F11" s="13">
        <v>4492</v>
      </c>
      <c r="G11" s="14">
        <v>13.82</v>
      </c>
      <c r="H11" s="14">
        <v>6.92</v>
      </c>
      <c r="I11" s="14">
        <v>5.84</v>
      </c>
      <c r="J11" s="14">
        <v>11.4</v>
      </c>
      <c r="K11" s="3">
        <f>(J11*E11/100)</f>
        <v>194.58966375000003</v>
      </c>
      <c r="L11" s="3">
        <f>C11-K11</f>
        <v>41.23733624999997</v>
      </c>
      <c r="M11" s="3">
        <f>1.19*K11</f>
        <v>231.56169986250003</v>
      </c>
      <c r="N11" s="3">
        <f>M11-K11</f>
        <v>36.972036112500007</v>
      </c>
    </row>
    <row r="13" spans="1:14">
      <c r="A13" t="s">
        <v>11</v>
      </c>
      <c r="B13" s="13">
        <v>15.472</v>
      </c>
      <c r="C13" s="13">
        <v>13.496</v>
      </c>
      <c r="D13" s="13">
        <v>266.24</v>
      </c>
      <c r="E13" s="13">
        <v>114.1972</v>
      </c>
      <c r="F13" s="13">
        <v>240.62</v>
      </c>
      <c r="G13" s="14">
        <v>11.84</v>
      </c>
      <c r="H13" s="14">
        <v>5.81</v>
      </c>
      <c r="I13" s="14">
        <v>6.43</v>
      </c>
      <c r="J13">
        <v>8</v>
      </c>
      <c r="K13" s="3">
        <f>(J13*E13/100)</f>
        <v>9.1357759999999999</v>
      </c>
      <c r="L13" s="3">
        <f>C13-K13</f>
        <v>4.3602240000000005</v>
      </c>
      <c r="M13" s="3">
        <f>1.19*K13</f>
        <v>10.871573439999999</v>
      </c>
      <c r="N13" s="3">
        <f>M13-K13</f>
        <v>1.7357974399999989</v>
      </c>
    </row>
    <row r="15" spans="1:14">
      <c r="A15" t="s">
        <v>12</v>
      </c>
      <c r="B15" s="13">
        <v>153.20099999999999</v>
      </c>
      <c r="C15" s="13">
        <v>134.221</v>
      </c>
      <c r="D15" s="13">
        <v>1850.0840000000001</v>
      </c>
      <c r="E15" s="13">
        <v>1250.6903</v>
      </c>
      <c r="F15" s="13">
        <v>2217.5</v>
      </c>
      <c r="G15" s="14">
        <v>10.73</v>
      </c>
      <c r="H15" s="14">
        <v>8.2799999999999994</v>
      </c>
      <c r="I15" s="14">
        <v>6.91</v>
      </c>
      <c r="J15">
        <v>8.9</v>
      </c>
      <c r="K15" s="3">
        <f>(J15*E15/100)</f>
        <v>111.3114367</v>
      </c>
      <c r="L15" s="3">
        <f>C15-K15</f>
        <v>22.909563300000002</v>
      </c>
      <c r="M15" s="3">
        <f>1.19*K15</f>
        <v>132.46060967299999</v>
      </c>
      <c r="N15" s="3">
        <f>M15-K15</f>
        <v>21.149172972999992</v>
      </c>
    </row>
    <row r="17" spans="1:16">
      <c r="A17" t="s">
        <v>24</v>
      </c>
      <c r="B17" s="13">
        <v>78.429000000000002</v>
      </c>
      <c r="C17" s="13">
        <v>69.884</v>
      </c>
      <c r="D17" s="13">
        <v>1163</v>
      </c>
      <c r="E17" s="13">
        <v>441.85300000000001</v>
      </c>
      <c r="F17" s="13">
        <v>1418.66</v>
      </c>
      <c r="G17" s="13">
        <v>15.82</v>
      </c>
      <c r="H17" s="14">
        <v>6.74</v>
      </c>
      <c r="I17" s="14">
        <v>5.53</v>
      </c>
      <c r="J17">
        <v>12.9</v>
      </c>
      <c r="K17" s="3">
        <f>(J17*E17/100)</f>
        <v>56.999037000000001</v>
      </c>
      <c r="L17" s="3">
        <f>C17-K17</f>
        <v>12.884962999999999</v>
      </c>
      <c r="M17" s="3">
        <f>1.19*K17</f>
        <v>67.828854030000002</v>
      </c>
      <c r="N17" s="3">
        <f>M17-K17</f>
        <v>10.829817030000001</v>
      </c>
    </row>
    <row r="19" spans="1:16" s="6" customFormat="1">
      <c r="A19" s="6" t="s">
        <v>16</v>
      </c>
      <c r="B19" s="7">
        <f>SUM(B3:B17)</f>
        <v>1035.5640000000001</v>
      </c>
      <c r="C19" s="7">
        <f t="shared" ref="C19:N19" si="0">SUM(C3:C17)</f>
        <v>914.09900000000005</v>
      </c>
      <c r="D19" s="7">
        <f t="shared" si="0"/>
        <v>14560.397000000001</v>
      </c>
      <c r="E19" s="7">
        <f t="shared" si="0"/>
        <v>7234.0779089999996</v>
      </c>
      <c r="F19" s="7">
        <f t="shared" si="0"/>
        <v>17225.52</v>
      </c>
      <c r="G19" s="8">
        <f>100*914/7234</f>
        <v>12.634780204589438</v>
      </c>
      <c r="H19" s="8">
        <f>100*(B19/D19)</f>
        <v>7.112196185310057</v>
      </c>
      <c r="I19" s="8">
        <f>100*B19/F19</f>
        <v>6.0118010951193348</v>
      </c>
      <c r="J19" s="8">
        <f>100*782/7234</f>
        <v>10.810063588609344</v>
      </c>
      <c r="K19" s="7">
        <f t="shared" si="0"/>
        <v>782.3230291320001</v>
      </c>
      <c r="L19" s="7">
        <f t="shared" si="0"/>
        <v>131.77597086799994</v>
      </c>
      <c r="M19" s="7">
        <f t="shared" si="0"/>
        <v>930.96440466708009</v>
      </c>
      <c r="N19" s="7">
        <f t="shared" si="0"/>
        <v>148.64137553507999</v>
      </c>
    </row>
    <row r="20" spans="1:16">
      <c r="N20" s="3"/>
      <c r="O20" s="5"/>
      <c r="P20" s="2"/>
    </row>
    <row r="21" spans="1:16" ht="51">
      <c r="A21" s="1"/>
      <c r="B21" s="3"/>
      <c r="G21" s="4" t="s">
        <v>32</v>
      </c>
      <c r="H21" s="2">
        <f>100*M19/E19</f>
        <v>12.869150932268182</v>
      </c>
      <c r="J21" s="4" t="s">
        <v>19</v>
      </c>
      <c r="K21" s="2">
        <f>M19/C19</f>
        <v>1.0184503042526905</v>
      </c>
    </row>
    <row r="24" spans="1:16" ht="68">
      <c r="A24" s="4"/>
      <c r="B24" s="2"/>
      <c r="G24" s="4" t="s">
        <v>20</v>
      </c>
      <c r="H24" s="2">
        <f>100*(B19+N19)/D19</f>
        <v>8.1330569182631489</v>
      </c>
    </row>
    <row r="27" spans="1:16" ht="51">
      <c r="B27" s="2"/>
      <c r="G27" s="4" t="s">
        <v>35</v>
      </c>
      <c r="H27" s="2">
        <f>100*(B19+N19)/F19</f>
        <v>6.874714815779611</v>
      </c>
    </row>
    <row r="28" spans="1:16">
      <c r="B28" s="2"/>
    </row>
    <row r="29" spans="1:16">
      <c r="A29" s="1"/>
      <c r="B29" s="5"/>
    </row>
    <row r="31" spans="1:16">
      <c r="A31" s="1"/>
      <c r="B31" s="2"/>
    </row>
    <row r="33" spans="1:7" ht="34">
      <c r="A33" s="4" t="s">
        <v>36</v>
      </c>
      <c r="B33" s="3">
        <f>1.19*K19</f>
        <v>930.96440466708009</v>
      </c>
      <c r="E33" s="3"/>
    </row>
    <row r="34" spans="1:7">
      <c r="A34" s="4"/>
    </row>
    <row r="35" spans="1:7" ht="34">
      <c r="A35" s="4" t="s">
        <v>34</v>
      </c>
      <c r="B35" s="3">
        <f>B33-K19</f>
        <v>148.64137553507999</v>
      </c>
      <c r="E35" s="3"/>
    </row>
    <row r="36" spans="1:7">
      <c r="A36" s="4"/>
    </row>
    <row r="37" spans="1:7" ht="34">
      <c r="A37" s="4" t="s">
        <v>33</v>
      </c>
      <c r="B37" s="2">
        <f>B35/C19</f>
        <v>0.16260971244370684</v>
      </c>
      <c r="E37" s="2"/>
    </row>
    <row r="39" spans="1:7">
      <c r="B39" s="2"/>
    </row>
    <row r="40" spans="1:7">
      <c r="A40" s="4"/>
      <c r="G40" s="4"/>
    </row>
    <row r="41" spans="1:7">
      <c r="A41" s="6" t="s">
        <v>37</v>
      </c>
    </row>
    <row r="42" spans="1:7">
      <c r="A42" t="s">
        <v>41</v>
      </c>
    </row>
    <row r="43" spans="1:7">
      <c r="A43" t="s">
        <v>43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D502-4515-EC4C-8351-46951CCBB445}">
  <dimension ref="A1:P27"/>
  <sheetViews>
    <sheetView zoomScale="75" workbookViewId="0">
      <selection activeCell="A5" sqref="A5"/>
    </sheetView>
  </sheetViews>
  <sheetFormatPr baseColWidth="10" defaultRowHeight="16"/>
  <cols>
    <col min="1" max="1" width="22.33203125" style="6" customWidth="1"/>
    <col min="2" max="13" width="21.6640625" customWidth="1"/>
    <col min="14" max="15" width="21.6640625" hidden="1" customWidth="1"/>
    <col min="16" max="16" width="21.6640625" customWidth="1"/>
  </cols>
  <sheetData>
    <row r="1" spans="1:16" s="4" customFormat="1" ht="51">
      <c r="A1" s="4" t="s">
        <v>0</v>
      </c>
      <c r="B1" s="4" t="s">
        <v>2</v>
      </c>
      <c r="C1" s="4" t="s">
        <v>14</v>
      </c>
      <c r="D1" s="4" t="s">
        <v>13</v>
      </c>
      <c r="E1" s="4" t="s">
        <v>3</v>
      </c>
      <c r="F1" s="4" t="s">
        <v>25</v>
      </c>
      <c r="G1" s="4" t="s">
        <v>5</v>
      </c>
      <c r="H1" s="4" t="s">
        <v>15</v>
      </c>
      <c r="I1" s="4" t="s">
        <v>17</v>
      </c>
      <c r="J1" s="4" t="s">
        <v>18</v>
      </c>
      <c r="K1" s="4" t="s">
        <v>26</v>
      </c>
      <c r="L1" s="4" t="s">
        <v>39</v>
      </c>
      <c r="M1" s="4" t="s">
        <v>27</v>
      </c>
      <c r="N1" s="4" t="s">
        <v>30</v>
      </c>
      <c r="O1" s="4" t="s">
        <v>31</v>
      </c>
      <c r="P1" s="4" t="s">
        <v>29</v>
      </c>
    </row>
    <row r="4" spans="1:16">
      <c r="A4" s="6" t="s">
        <v>38</v>
      </c>
      <c r="B4" s="13">
        <v>17.504000000000001</v>
      </c>
      <c r="C4" s="13">
        <v>13.696999999999999</v>
      </c>
      <c r="D4" s="11">
        <v>215.74</v>
      </c>
      <c r="E4" s="11">
        <v>113.628</v>
      </c>
      <c r="F4" s="14">
        <v>12.05</v>
      </c>
      <c r="G4" s="1">
        <v>8.11</v>
      </c>
      <c r="H4">
        <v>6.5</v>
      </c>
      <c r="I4" s="2">
        <f>(H4*E4)/100</f>
        <v>7.3858199999999998</v>
      </c>
      <c r="J4" s="11">
        <f>C4-I4</f>
        <v>6.3111799999999993</v>
      </c>
      <c r="K4" s="2">
        <f>1.06*I4</f>
        <v>7.8289692000000004</v>
      </c>
      <c r="L4">
        <v>20</v>
      </c>
      <c r="M4" s="2">
        <f>100*(L4+B4)/D4</f>
        <v>17.383888013349402</v>
      </c>
      <c r="P4" s="5">
        <f>100*(B4+0.06*C4)/D4</f>
        <v>8.4944006674701029</v>
      </c>
    </row>
    <row r="6" spans="1:16">
      <c r="A6" s="6" t="s">
        <v>28</v>
      </c>
      <c r="B6" s="13">
        <v>10.058999999999999</v>
      </c>
      <c r="C6" s="13">
        <v>9.35</v>
      </c>
      <c r="D6" s="2">
        <f>100*B6/G6</f>
        <v>114.43686006825939</v>
      </c>
      <c r="E6" s="2">
        <f>100*C6/F6</f>
        <v>89.817483189241116</v>
      </c>
      <c r="F6" s="14">
        <v>10.41</v>
      </c>
      <c r="G6" s="14">
        <v>8.7899999999999991</v>
      </c>
      <c r="H6">
        <v>6.5</v>
      </c>
      <c r="I6" s="2">
        <f>(H6*E6)/100</f>
        <v>5.8381364073006727</v>
      </c>
      <c r="J6" s="11">
        <f>C6-I6</f>
        <v>3.5118635926993269</v>
      </c>
      <c r="K6" s="2">
        <f>1.06*I6</f>
        <v>6.1884245917387135</v>
      </c>
      <c r="L6">
        <v>2.5</v>
      </c>
      <c r="M6" s="2">
        <f>100*(L6+B6)/D6</f>
        <v>10.974610796301818</v>
      </c>
      <c r="P6" s="5">
        <f>100*(B6+0.06*C6)/D6</f>
        <v>9.2802266626901275</v>
      </c>
    </row>
    <row r="7" spans="1:16" ht="19">
      <c r="A7" s="10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6" ht="19">
      <c r="A8" s="10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6" ht="19">
      <c r="A9" s="6" t="s">
        <v>37</v>
      </c>
      <c r="C9" s="9"/>
      <c r="D9" s="9"/>
      <c r="E9" s="9"/>
      <c r="F9" s="9"/>
      <c r="G9" s="9"/>
      <c r="H9" s="9"/>
      <c r="I9" s="9"/>
      <c r="J9" s="9"/>
      <c r="K9" s="9"/>
    </row>
    <row r="10" spans="1:16" ht="19">
      <c r="A10" t="s">
        <v>42</v>
      </c>
      <c r="C10" s="9"/>
      <c r="D10" s="9"/>
      <c r="E10" s="9"/>
      <c r="F10" s="9"/>
      <c r="G10" s="9"/>
      <c r="H10" s="9"/>
      <c r="I10" s="9"/>
      <c r="J10" s="9"/>
      <c r="K10" s="9"/>
    </row>
    <row r="11" spans="1:16" ht="19">
      <c r="A11" t="s">
        <v>40</v>
      </c>
      <c r="C11" s="9"/>
      <c r="D11" s="9"/>
      <c r="E11" s="9"/>
      <c r="F11" s="9"/>
      <c r="G11" s="9"/>
      <c r="H11" s="9"/>
      <c r="I11" s="9"/>
      <c r="J11" s="9"/>
      <c r="K11" s="9"/>
    </row>
    <row r="12" spans="1:16" ht="19">
      <c r="D12" s="9"/>
      <c r="E12" s="9"/>
      <c r="F12" s="9"/>
      <c r="G12" s="9"/>
      <c r="H12" s="9"/>
      <c r="I12" s="9"/>
      <c r="J12" s="9"/>
      <c r="K12" s="9"/>
    </row>
    <row r="24" spans="2:2">
      <c r="B24" s="4"/>
    </row>
    <row r="25" spans="2:2">
      <c r="B25" s="4"/>
    </row>
    <row r="26" spans="2:2">
      <c r="B26" s="4"/>
    </row>
    <row r="27" spans="2:2">
      <c r="B27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Jarsulic</dc:creator>
  <cp:lastModifiedBy>Marc Jarsulic</cp:lastModifiedBy>
  <dcterms:created xsi:type="dcterms:W3CDTF">2023-10-01T15:39:19Z</dcterms:created>
  <dcterms:modified xsi:type="dcterms:W3CDTF">2023-12-07T00:57:27Z</dcterms:modified>
</cp:coreProperties>
</file>